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'Sheet1'!$A$1:$R$35</definedName>
  </definedNames>
  <calcPr fullCalcOnLoad="1"/>
</workbook>
</file>

<file path=xl/sharedStrings.xml><?xml version="1.0" encoding="utf-8"?>
<sst xmlns="http://schemas.openxmlformats.org/spreadsheetml/2006/main" count="52" uniqueCount="48">
  <si>
    <t>Sl.No</t>
  </si>
  <si>
    <t>Band Pay</t>
  </si>
  <si>
    <t>Gr. Pay</t>
  </si>
  <si>
    <t>D.A</t>
  </si>
  <si>
    <t>Total</t>
  </si>
  <si>
    <t>P.Tax</t>
  </si>
  <si>
    <t>Due</t>
  </si>
  <si>
    <t>Basic</t>
  </si>
  <si>
    <t xml:space="preserve">D.P. </t>
  </si>
  <si>
    <t>D.A..</t>
  </si>
  <si>
    <t>Drawn</t>
  </si>
  <si>
    <t>Arrear Amount</t>
  </si>
  <si>
    <t>Pay Month &amp; Year :</t>
  </si>
  <si>
    <t>Head Of Account   :</t>
  </si>
  <si>
    <t>Department           :</t>
  </si>
  <si>
    <t>Total Arrear Amount =</t>
  </si>
  <si>
    <t>Remarks</t>
  </si>
  <si>
    <t xml:space="preserve"> </t>
  </si>
  <si>
    <t>D.A. (%)</t>
  </si>
  <si>
    <t>Acquittance</t>
  </si>
  <si>
    <t>Name &amp; Designation</t>
  </si>
  <si>
    <t>D.D.O.Code            : CAB/FNA/</t>
  </si>
  <si>
    <t>: C A L C U L A T I O N :</t>
  </si>
  <si>
    <t>D.D.O. Designation  : A.O., W.B. Sectt.</t>
  </si>
  <si>
    <t>Form No : 18 (PAY BILL INNER SHEET)</t>
  </si>
  <si>
    <t>Establishment          :</t>
  </si>
  <si>
    <t>Diff.</t>
  </si>
  <si>
    <t>Deduct-able</t>
  </si>
  <si>
    <t>Deducted</t>
  </si>
  <si>
    <t>Net Amount</t>
  </si>
  <si>
    <t>Drawn Gross</t>
  </si>
  <si>
    <t>Basic Due</t>
  </si>
  <si>
    <t>Gr.Pay</t>
  </si>
  <si>
    <t>Basic Drawn</t>
  </si>
  <si>
    <t>01.04.08</t>
  </si>
  <si>
    <t>01.07.08</t>
  </si>
  <si>
    <t>Name</t>
  </si>
  <si>
    <t xml:space="preserve"> Total Dues</t>
  </si>
  <si>
    <t>Over Drawn</t>
  </si>
  <si>
    <t>Page No : 1</t>
  </si>
  <si>
    <t>P.Tax  has been adjusted with this first instalment</t>
  </si>
  <si>
    <t>Assessed Rent</t>
  </si>
  <si>
    <t xml:space="preserve">Govt.Qrt. </t>
  </si>
  <si>
    <t>Month of Benefit</t>
  </si>
  <si>
    <t>Month of Change</t>
  </si>
  <si>
    <t>Due Gross</t>
  </si>
  <si>
    <t>HRA+ MA</t>
  </si>
  <si>
    <t>Month of Retirement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</si>
</sst>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17" fontId="0" fillId="0" borderId="0" xfId="0" applyNumberFormat="1" applyFont="1" applyAlignment="1">
      <alignment horizontal="left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PageLayoutView="0" workbookViewId="0" topLeftCell="K1">
      <selection activeCell="W7" sqref="W7:AA9"/>
    </sheetView>
  </sheetViews>
  <sheetFormatPr defaultColWidth="9.140625" defaultRowHeight="12.75"/>
  <cols>
    <col min="1" max="1" width="6.28125" style="0" customWidth="1"/>
    <col min="2" max="2" width="40.57421875" style="0" customWidth="1"/>
    <col min="3" max="3" width="7.28125" style="0" customWidth="1"/>
    <col min="4" max="4" width="9.00390625" style="0" customWidth="1"/>
    <col min="5" max="5" width="7.421875" style="0" customWidth="1"/>
    <col min="6" max="6" width="6.28125" style="0" customWidth="1"/>
    <col min="7" max="7" width="5.00390625" style="0" customWidth="1"/>
    <col min="8" max="8" width="7.5742187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4.8515625" style="0" customWidth="1"/>
    <col min="13" max="13" width="6.140625" style="0" customWidth="1"/>
    <col min="14" max="15" width="7.7109375" style="0" customWidth="1"/>
    <col min="16" max="16" width="8.57421875" style="0" customWidth="1"/>
    <col min="17" max="17" width="4.57421875" style="0" customWidth="1"/>
    <col min="18" max="18" width="21.7109375" style="0" customWidth="1"/>
    <col min="19" max="19" width="7.421875" style="0" customWidth="1"/>
    <col min="21" max="21" width="9.00390625" style="0" customWidth="1"/>
    <col min="27" max="27" width="9.00390625" style="0" customWidth="1"/>
    <col min="28" max="28" width="8.8515625" style="0" customWidth="1"/>
    <col min="29" max="29" width="9.7109375" style="0" customWidth="1"/>
    <col min="30" max="30" width="10.28125" style="0" customWidth="1"/>
  </cols>
  <sheetData>
    <row r="1" spans="3:10" s="20" customFormat="1" ht="17.25" customHeight="1">
      <c r="C1" s="23">
        <v>0</v>
      </c>
      <c r="D1" s="23"/>
      <c r="E1" s="23">
        <v>0</v>
      </c>
      <c r="F1" s="23"/>
      <c r="G1" s="23"/>
      <c r="H1" s="20">
        <v>0</v>
      </c>
      <c r="I1" s="23">
        <v>0</v>
      </c>
      <c r="J1" s="23"/>
    </row>
    <row r="2" spans="1:18" ht="12.7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24.75" customHeight="1">
      <c r="A3" s="26" t="s">
        <v>14</v>
      </c>
      <c r="B3" s="26"/>
      <c r="C3" s="26"/>
      <c r="D3" s="26"/>
      <c r="E3" s="26"/>
      <c r="F3" s="26"/>
      <c r="G3" s="26"/>
      <c r="H3" s="26" t="s">
        <v>25</v>
      </c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24.75" customHeight="1">
      <c r="A4" s="26" t="s">
        <v>13</v>
      </c>
      <c r="B4" s="26"/>
      <c r="C4" s="26"/>
      <c r="D4" s="26"/>
      <c r="E4" s="26"/>
      <c r="F4" s="26"/>
      <c r="G4" s="26"/>
      <c r="H4" s="26" t="s">
        <v>23</v>
      </c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24.75" customHeight="1">
      <c r="A5" s="26" t="s">
        <v>12</v>
      </c>
      <c r="B5" s="26"/>
      <c r="C5" s="26"/>
      <c r="D5" s="26"/>
      <c r="E5" s="26"/>
      <c r="F5" s="26"/>
      <c r="G5" s="26"/>
      <c r="H5" s="26" t="s">
        <v>21</v>
      </c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2.75">
      <c r="A6" t="s">
        <v>0</v>
      </c>
      <c r="B6" s="1" t="s">
        <v>20</v>
      </c>
      <c r="C6" s="24" t="s">
        <v>37</v>
      </c>
      <c r="D6" s="24"/>
      <c r="E6" s="24" t="s">
        <v>38</v>
      </c>
      <c r="F6" s="24"/>
      <c r="G6" s="24"/>
      <c r="H6" s="6" t="s">
        <v>5</v>
      </c>
      <c r="I6" s="24" t="s">
        <v>29</v>
      </c>
      <c r="J6" s="24"/>
      <c r="K6" s="24" t="s">
        <v>16</v>
      </c>
      <c r="L6" s="24"/>
      <c r="M6" s="24"/>
      <c r="N6" s="24"/>
      <c r="O6" s="24"/>
      <c r="P6" s="24"/>
      <c r="Q6" s="24"/>
      <c r="R6" s="7" t="s">
        <v>19</v>
      </c>
    </row>
    <row r="7" spans="1:27" ht="15">
      <c r="A7" s="2">
        <v>1</v>
      </c>
      <c r="B7" s="3">
        <f>W7</f>
        <v>0</v>
      </c>
      <c r="C7" s="27">
        <f>N24</f>
        <v>47809</v>
      </c>
      <c r="D7" s="27"/>
      <c r="E7" s="27">
        <v>0</v>
      </c>
      <c r="F7" s="27"/>
      <c r="G7" s="27"/>
      <c r="H7" s="6">
        <f>Q23</f>
        <v>200</v>
      </c>
      <c r="I7" s="27">
        <f>C7-(E7+H7)</f>
        <v>47609</v>
      </c>
      <c r="J7" s="27"/>
      <c r="K7" s="30" t="s">
        <v>40</v>
      </c>
      <c r="L7" s="30"/>
      <c r="M7" s="30"/>
      <c r="N7" s="30"/>
      <c r="O7" s="30"/>
      <c r="P7" s="30"/>
      <c r="Q7" s="30"/>
      <c r="R7" s="28"/>
      <c r="V7" t="s">
        <v>36</v>
      </c>
      <c r="W7" s="31"/>
      <c r="X7" s="31"/>
      <c r="Y7" s="31"/>
      <c r="Z7" s="31"/>
      <c r="AA7" s="31"/>
    </row>
    <row r="8" spans="1:27" ht="12.75">
      <c r="A8" s="28" t="s">
        <v>17</v>
      </c>
      <c r="B8" s="28"/>
      <c r="C8" s="27" t="s">
        <v>22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8"/>
      <c r="W8" s="31"/>
      <c r="X8" s="31"/>
      <c r="Y8" s="31"/>
      <c r="Z8" s="31"/>
      <c r="AA8" s="31"/>
    </row>
    <row r="9" spans="1:27" ht="12.75">
      <c r="A9" s="28"/>
      <c r="B9" s="28"/>
      <c r="C9" s="25" t="s">
        <v>17</v>
      </c>
      <c r="D9" s="24" t="s">
        <v>6</v>
      </c>
      <c r="E9" s="23"/>
      <c r="F9" s="23"/>
      <c r="G9" s="23"/>
      <c r="H9" s="23"/>
      <c r="I9" s="24" t="s">
        <v>10</v>
      </c>
      <c r="J9" s="23"/>
      <c r="K9" s="23"/>
      <c r="L9" s="23"/>
      <c r="M9" s="23"/>
      <c r="N9" s="33" t="s">
        <v>11</v>
      </c>
      <c r="O9" s="27" t="s">
        <v>5</v>
      </c>
      <c r="P9" s="27"/>
      <c r="Q9" s="27"/>
      <c r="R9" s="28"/>
      <c r="W9" s="31"/>
      <c r="X9" s="31"/>
      <c r="Y9" s="31"/>
      <c r="Z9" s="31"/>
      <c r="AA9" s="31"/>
    </row>
    <row r="10" spans="1:30" ht="24.75" customHeight="1">
      <c r="A10" s="28"/>
      <c r="B10" s="28"/>
      <c r="C10" s="25"/>
      <c r="D10" s="2" t="s">
        <v>1</v>
      </c>
      <c r="E10" s="2" t="s">
        <v>2</v>
      </c>
      <c r="F10" s="2" t="s">
        <v>3</v>
      </c>
      <c r="G10" s="5" t="s">
        <v>18</v>
      </c>
      <c r="H10" s="6" t="s">
        <v>4</v>
      </c>
      <c r="I10" s="2" t="s">
        <v>7</v>
      </c>
      <c r="J10" s="2" t="s">
        <v>8</v>
      </c>
      <c r="K10" s="2" t="s">
        <v>9</v>
      </c>
      <c r="L10" s="5" t="s">
        <v>18</v>
      </c>
      <c r="M10" s="6" t="s">
        <v>4</v>
      </c>
      <c r="N10" s="33"/>
      <c r="O10" s="5" t="s">
        <v>27</v>
      </c>
      <c r="P10" s="2" t="s">
        <v>28</v>
      </c>
      <c r="Q10" s="12" t="s">
        <v>26</v>
      </c>
      <c r="R10" s="28"/>
      <c r="S10" s="5" t="s">
        <v>46</v>
      </c>
      <c r="T10" s="5" t="s">
        <v>45</v>
      </c>
      <c r="U10" s="5" t="s">
        <v>30</v>
      </c>
      <c r="W10" s="5" t="s">
        <v>31</v>
      </c>
      <c r="X10" s="25" t="s">
        <v>32</v>
      </c>
      <c r="Y10" s="25"/>
      <c r="Z10" s="29" t="s">
        <v>33</v>
      </c>
      <c r="AA10" s="29"/>
      <c r="AB10" s="5" t="s">
        <v>42</v>
      </c>
      <c r="AC10" s="5" t="s">
        <v>41</v>
      </c>
      <c r="AD10" s="5" t="s">
        <v>47</v>
      </c>
    </row>
    <row r="11" spans="1:30" ht="24.75" customHeight="1">
      <c r="A11" s="28"/>
      <c r="B11" s="28"/>
      <c r="C11" s="9">
        <v>39539</v>
      </c>
      <c r="D11" s="4">
        <f>W11</f>
        <v>9800</v>
      </c>
      <c r="E11" s="4">
        <f>Y11</f>
        <v>3600</v>
      </c>
      <c r="F11" s="4">
        <f>ROUND((D11+E11)*G11,0)</f>
        <v>268</v>
      </c>
      <c r="G11" s="10">
        <v>0.02</v>
      </c>
      <c r="H11" s="4">
        <f>D11+E11+F11</f>
        <v>13668</v>
      </c>
      <c r="I11" s="4">
        <f>AA11</f>
        <v>5150</v>
      </c>
      <c r="J11" s="4">
        <f>ROUND(I11/2,0)</f>
        <v>2575</v>
      </c>
      <c r="K11" s="4">
        <f>ROUND((I11+J11)*L11,0)</f>
        <v>2240</v>
      </c>
      <c r="L11" s="10">
        <v>0.29</v>
      </c>
      <c r="M11" s="4">
        <f>I11+J11+K11</f>
        <v>9965</v>
      </c>
      <c r="N11" s="4">
        <f aca="true" t="shared" si="0" ref="N11:N22">(H11-M11)</f>
        <v>3703</v>
      </c>
      <c r="O11" s="4">
        <f>IF(D11&lt;1,"",IF(T11&gt;40000,200,IF(T11&gt;25000,150,IF(T11&gt;15000,130,IF(T11&gt;9000,110,IF(T11&gt;8000,90,IF(T11&gt;7000,50,IF(T11&gt;6000,45,40))))))))</f>
        <v>110</v>
      </c>
      <c r="P11" s="2">
        <f>IF(D11&lt;1,"",IF(U11&gt;40000,200,IF(U11&gt;25000,150,IF(U11&gt;15000,130,IF(U11&gt;9000,110,IF(U11&gt;8000,90,IF(U11&gt;7000,50,IF(U11&gt;6000,45,40))))))))</f>
        <v>110</v>
      </c>
      <c r="Q11" s="2">
        <f aca="true" t="shared" si="1" ref="Q11:Q22">O11-P11</f>
        <v>0</v>
      </c>
      <c r="R11" s="28"/>
      <c r="S11">
        <f>IF(AB11+AC11&gt;1,AC11+100,(IF(AB11+AC11=1,0+100,IF(ROUND(I11*15%,0)+100&gt;2100,2100,(ROUND(I11*15%,0)+100)))))</f>
        <v>873</v>
      </c>
      <c r="T11">
        <f>D11+E11+F11+S11</f>
        <v>14541</v>
      </c>
      <c r="U11">
        <f>I11+J11+K11+S11</f>
        <v>10838</v>
      </c>
      <c r="V11" s="13" t="s">
        <v>34</v>
      </c>
      <c r="W11" s="14">
        <v>9800</v>
      </c>
      <c r="X11" s="5" t="s">
        <v>44</v>
      </c>
      <c r="Y11" s="16">
        <v>3600</v>
      </c>
      <c r="Z11" s="5" t="s">
        <v>43</v>
      </c>
      <c r="AA11" s="17">
        <v>5150</v>
      </c>
      <c r="AB11" s="14">
        <v>0</v>
      </c>
      <c r="AC11" s="16">
        <v>0</v>
      </c>
      <c r="AD11">
        <v>8</v>
      </c>
    </row>
    <row r="12" spans="1:27" ht="24.75" customHeight="1">
      <c r="A12" s="28"/>
      <c r="B12" s="28"/>
      <c r="C12" s="9">
        <v>39569</v>
      </c>
      <c r="D12" s="4">
        <f>D11</f>
        <v>9800</v>
      </c>
      <c r="E12" s="4">
        <f>IF(X12=5,Y12,E11)</f>
        <v>3600</v>
      </c>
      <c r="F12" s="4">
        <f>ROUND((D12+E12)*G11,0)</f>
        <v>268</v>
      </c>
      <c r="G12" s="11"/>
      <c r="H12" s="4">
        <f aca="true" t="shared" si="2" ref="H12:H22">D12+E12+F12</f>
        <v>13668</v>
      </c>
      <c r="I12" s="4">
        <f>IF(Z12=5,AA12,I11)</f>
        <v>5150</v>
      </c>
      <c r="J12" s="4">
        <f aca="true" t="shared" si="3" ref="J12:J22">ROUND(I12/2,0)</f>
        <v>2575</v>
      </c>
      <c r="K12" s="4">
        <f>ROUND((I12+J12)*L11,0)</f>
        <v>2240</v>
      </c>
      <c r="L12" s="11"/>
      <c r="M12" s="4">
        <f aca="true" t="shared" si="4" ref="M12:M22">I12+J12+K12</f>
        <v>9965</v>
      </c>
      <c r="N12" s="4">
        <f t="shared" si="0"/>
        <v>3703</v>
      </c>
      <c r="O12" s="4">
        <f aca="true" t="shared" si="5" ref="O12:O22">IF(D12&lt;1,"",IF(T12&gt;40000,200,IF(T12&gt;25000,150,IF(T12&gt;15000,130,IF(T12&gt;9000,110,IF(T12&gt;8000,90,IF(T12&gt;7000,50,IF(T12&gt;6000,45,40))))))))</f>
        <v>110</v>
      </c>
      <c r="P12" s="2">
        <f aca="true" t="shared" si="6" ref="P12:P22">IF(D12&lt;1,"",IF(U12&gt;40000,200,IF(U12&gt;25000,150,IF(U12&gt;15000,130,IF(U12&gt;9000,110,IF(U12&gt;8000,90,IF(U12&gt;7000,50,IF(U12&gt;6000,45,40))))))))</f>
        <v>110</v>
      </c>
      <c r="Q12" s="2">
        <f t="shared" si="1"/>
        <v>0</v>
      </c>
      <c r="R12" s="28"/>
      <c r="S12">
        <f>IF(AB11+AC11&gt;1,AC11+100,(IF(AB11+AC11=1,0+100,IF(ROUND(I12*15%,0)+100&gt;2100,2100,(ROUND(I12*15%,0)+100)))))</f>
        <v>873</v>
      </c>
      <c r="T12">
        <f aca="true" t="shared" si="7" ref="T12:T22">D12+E12+F12+S12</f>
        <v>14541</v>
      </c>
      <c r="U12">
        <f aca="true" t="shared" si="8" ref="U12:U22">I12+J12+K12+S12</f>
        <v>10838</v>
      </c>
      <c r="V12" s="13" t="s">
        <v>35</v>
      </c>
      <c r="W12" s="15">
        <v>10210</v>
      </c>
      <c r="X12">
        <v>0</v>
      </c>
      <c r="Y12" s="19">
        <v>3600</v>
      </c>
      <c r="Z12">
        <v>1</v>
      </c>
      <c r="AA12" s="18">
        <v>5300</v>
      </c>
    </row>
    <row r="13" spans="1:27" ht="24.75" customHeight="1">
      <c r="A13" s="28"/>
      <c r="B13" s="28"/>
      <c r="C13" s="9">
        <v>39600</v>
      </c>
      <c r="D13" s="4">
        <f>D12</f>
        <v>9800</v>
      </c>
      <c r="E13" s="4">
        <f>IF(X13=6,Y13,IF(X12=6,Y12,E12))</f>
        <v>3600</v>
      </c>
      <c r="F13" s="4">
        <f>ROUND((D13+E13)*G13,0)</f>
        <v>804</v>
      </c>
      <c r="G13" s="10">
        <v>0.06</v>
      </c>
      <c r="H13" s="4">
        <f t="shared" si="2"/>
        <v>14204</v>
      </c>
      <c r="I13" s="4">
        <f>IF(Z13=6,AA13,IF(Z12=6,AA12,I12))</f>
        <v>5150</v>
      </c>
      <c r="J13" s="4">
        <f t="shared" si="3"/>
        <v>2575</v>
      </c>
      <c r="K13" s="4">
        <f>ROUND((I13+J13)*L13,0)</f>
        <v>2704</v>
      </c>
      <c r="L13" s="10">
        <v>0.35</v>
      </c>
      <c r="M13" s="4">
        <f t="shared" si="4"/>
        <v>10429</v>
      </c>
      <c r="N13" s="4">
        <f t="shared" si="0"/>
        <v>3775</v>
      </c>
      <c r="O13" s="4">
        <f t="shared" si="5"/>
        <v>130</v>
      </c>
      <c r="P13" s="2">
        <f t="shared" si="6"/>
        <v>110</v>
      </c>
      <c r="Q13" s="2">
        <f t="shared" si="1"/>
        <v>20</v>
      </c>
      <c r="R13" s="28"/>
      <c r="S13">
        <f>IF(AB11+AC11&gt;1,AC11+100,(IF(AB11+AC11=1,0+100,IF(ROUND(I13*15%,0)+100&gt;2100,2100,(ROUND(I13*15%,0)+100)))))</f>
        <v>873</v>
      </c>
      <c r="T13">
        <f t="shared" si="7"/>
        <v>15077</v>
      </c>
      <c r="U13">
        <f t="shared" si="8"/>
        <v>11302</v>
      </c>
      <c r="X13">
        <v>0</v>
      </c>
      <c r="Y13" s="21">
        <v>4000</v>
      </c>
      <c r="Z13">
        <v>0</v>
      </c>
      <c r="AA13" s="22">
        <v>5800</v>
      </c>
    </row>
    <row r="14" spans="1:21" ht="24.75" customHeight="1">
      <c r="A14" s="28"/>
      <c r="B14" s="28"/>
      <c r="C14" s="9">
        <v>39630</v>
      </c>
      <c r="D14" s="4">
        <f>W12</f>
        <v>10210</v>
      </c>
      <c r="E14" s="4">
        <f>IF(X13=7,Y13,IF(X12=7,Y12,E13))</f>
        <v>3600</v>
      </c>
      <c r="F14" s="4">
        <f>ROUND((D14+E14)*G13,0)</f>
        <v>829</v>
      </c>
      <c r="G14" s="11"/>
      <c r="H14" s="4">
        <f t="shared" si="2"/>
        <v>14639</v>
      </c>
      <c r="I14" s="4">
        <f>IF(Z13=7,AA13,IF(Z12=7,AA12,I13))</f>
        <v>5150</v>
      </c>
      <c r="J14" s="4">
        <f t="shared" si="3"/>
        <v>2575</v>
      </c>
      <c r="K14" s="4">
        <f>ROUND((I14+J14)*L13,0)</f>
        <v>2704</v>
      </c>
      <c r="L14" s="11"/>
      <c r="M14" s="4">
        <f t="shared" si="4"/>
        <v>10429</v>
      </c>
      <c r="N14" s="4">
        <f t="shared" si="0"/>
        <v>4210</v>
      </c>
      <c r="O14" s="4">
        <f t="shared" si="5"/>
        <v>130</v>
      </c>
      <c r="P14" s="2">
        <f t="shared" si="6"/>
        <v>110</v>
      </c>
      <c r="Q14" s="2">
        <f t="shared" si="1"/>
        <v>20</v>
      </c>
      <c r="R14" s="28"/>
      <c r="S14">
        <f>IF(AB11+AC11&gt;1,AC11+100,(IF(AB11+AC11=1,0+100,IF(ROUND(I14*15%,0)+100&gt;2100,2100,(ROUND(I14*15%,0)+100)))))</f>
        <v>873</v>
      </c>
      <c r="T14">
        <f t="shared" si="7"/>
        <v>15512</v>
      </c>
      <c r="U14">
        <f t="shared" si="8"/>
        <v>11302</v>
      </c>
    </row>
    <row r="15" spans="1:21" ht="24.75" customHeight="1">
      <c r="A15" s="28"/>
      <c r="B15" s="28"/>
      <c r="C15" s="9">
        <v>39661</v>
      </c>
      <c r="D15" s="4">
        <f aca="true" t="shared" si="9" ref="D15:D22">D14</f>
        <v>10210</v>
      </c>
      <c r="E15" s="4">
        <f>IF(X13=8,Y13,IF(X12=8,Y12,E14))</f>
        <v>3600</v>
      </c>
      <c r="F15" s="4">
        <f>ROUND((D15+E15)*G13,0)</f>
        <v>829</v>
      </c>
      <c r="G15" s="11"/>
      <c r="H15" s="4">
        <f t="shared" si="2"/>
        <v>14639</v>
      </c>
      <c r="I15" s="4">
        <f>IF(Z13=8,AA13,IF(Z12=8,AA12,I14))</f>
        <v>5150</v>
      </c>
      <c r="J15" s="4">
        <f t="shared" si="3"/>
        <v>2575</v>
      </c>
      <c r="K15" s="4">
        <f>ROUND((I15+J15)*L13,0)</f>
        <v>2704</v>
      </c>
      <c r="L15" s="11"/>
      <c r="M15" s="4">
        <f t="shared" si="4"/>
        <v>10429</v>
      </c>
      <c r="N15" s="4">
        <f t="shared" si="0"/>
        <v>4210</v>
      </c>
      <c r="O15" s="4">
        <f t="shared" si="5"/>
        <v>130</v>
      </c>
      <c r="P15" s="2">
        <f t="shared" si="6"/>
        <v>110</v>
      </c>
      <c r="Q15" s="2">
        <f t="shared" si="1"/>
        <v>20</v>
      </c>
      <c r="R15" s="28"/>
      <c r="S15">
        <f>IF(AB11+AC11&gt;1,AC11+100,(IF(AB11+AC11=1,0+100,IF(ROUND(I15*15%,0)+100&gt;2100,2100,(ROUND(I15*15%,0)+100)))))</f>
        <v>873</v>
      </c>
      <c r="T15">
        <f t="shared" si="7"/>
        <v>15512</v>
      </c>
      <c r="U15">
        <f t="shared" si="8"/>
        <v>11302</v>
      </c>
    </row>
    <row r="16" spans="1:21" ht="24.75" customHeight="1">
      <c r="A16" s="28"/>
      <c r="B16" s="28"/>
      <c r="C16" s="9">
        <v>39692</v>
      </c>
      <c r="D16" s="4">
        <f t="shared" si="9"/>
        <v>10210</v>
      </c>
      <c r="E16" s="4">
        <f>IF(X13=9,Y13,IF(X12=9,Y12,E15))</f>
        <v>3600</v>
      </c>
      <c r="F16" s="4">
        <f>ROUND((D16+E16)*G13,0)</f>
        <v>829</v>
      </c>
      <c r="G16" s="11"/>
      <c r="H16" s="4">
        <f t="shared" si="2"/>
        <v>14639</v>
      </c>
      <c r="I16" s="4">
        <f>IF(Z13=9,AA13,IF(Z12=9,AA12,I15))</f>
        <v>5150</v>
      </c>
      <c r="J16" s="4">
        <f t="shared" si="3"/>
        <v>2575</v>
      </c>
      <c r="K16" s="4">
        <f>ROUND((I16+J16)*L13,0)</f>
        <v>2704</v>
      </c>
      <c r="L16" s="11"/>
      <c r="M16" s="4">
        <f t="shared" si="4"/>
        <v>10429</v>
      </c>
      <c r="N16" s="4">
        <f t="shared" si="0"/>
        <v>4210</v>
      </c>
      <c r="O16" s="4">
        <f t="shared" si="5"/>
        <v>130</v>
      </c>
      <c r="P16" s="2">
        <f t="shared" si="6"/>
        <v>110</v>
      </c>
      <c r="Q16" s="2">
        <f t="shared" si="1"/>
        <v>20</v>
      </c>
      <c r="R16" s="28"/>
      <c r="S16">
        <f>IF(AB11+AC11&gt;1,AC11+100,(IF(AB11+AC11=1,0+100,IF(ROUND(I16*15%,0)+100&gt;2100,2100,(ROUND(I16*15%,0)+100)))))</f>
        <v>873</v>
      </c>
      <c r="T16">
        <f t="shared" si="7"/>
        <v>15512</v>
      </c>
      <c r="U16">
        <f t="shared" si="8"/>
        <v>11302</v>
      </c>
    </row>
    <row r="17" spans="1:21" ht="24.75" customHeight="1">
      <c r="A17" s="28"/>
      <c r="B17" s="28"/>
      <c r="C17" s="9">
        <v>39722</v>
      </c>
      <c r="D17" s="4">
        <f t="shared" si="9"/>
        <v>10210</v>
      </c>
      <c r="E17" s="4">
        <f>IF(X13=10,Y13,IF(X12=10,Y12,E16))</f>
        <v>3600</v>
      </c>
      <c r="F17" s="4">
        <f>ROUND((D17+E17)*G13,0)</f>
        <v>829</v>
      </c>
      <c r="G17" s="11"/>
      <c r="H17" s="4">
        <f t="shared" si="2"/>
        <v>14639</v>
      </c>
      <c r="I17" s="4">
        <f>IF(Z13=10,AA13,IF(Z12=10,AA12,I16))</f>
        <v>5150</v>
      </c>
      <c r="J17" s="4">
        <f t="shared" si="3"/>
        <v>2575</v>
      </c>
      <c r="K17" s="4">
        <f>ROUND((I17+J17)*L13,0)</f>
        <v>2704</v>
      </c>
      <c r="L17" s="11"/>
      <c r="M17" s="4">
        <f t="shared" si="4"/>
        <v>10429</v>
      </c>
      <c r="N17" s="4">
        <f t="shared" si="0"/>
        <v>4210</v>
      </c>
      <c r="O17" s="4">
        <f t="shared" si="5"/>
        <v>130</v>
      </c>
      <c r="P17" s="2">
        <f t="shared" si="6"/>
        <v>110</v>
      </c>
      <c r="Q17" s="2">
        <f t="shared" si="1"/>
        <v>20</v>
      </c>
      <c r="R17" s="28"/>
      <c r="S17">
        <f>IF(AB11+AC11&gt;1,AC11+100,(IF(AB11+AC11=1,0+100,IF(ROUND(I17*15%,0)+100&gt;2100,2100,(ROUND(I17*15%,0)+100)))))</f>
        <v>873</v>
      </c>
      <c r="T17">
        <f t="shared" si="7"/>
        <v>15512</v>
      </c>
      <c r="U17">
        <f t="shared" si="8"/>
        <v>11302</v>
      </c>
    </row>
    <row r="18" spans="1:21" ht="24.75" customHeight="1">
      <c r="A18" s="28"/>
      <c r="B18" s="28"/>
      <c r="C18" s="9">
        <v>39753</v>
      </c>
      <c r="D18" s="4">
        <f t="shared" si="9"/>
        <v>10210</v>
      </c>
      <c r="E18" s="4">
        <f>IF(X13=11,Y13,IF(X12=11,Y12,E17))</f>
        <v>3600</v>
      </c>
      <c r="F18" s="4">
        <f>ROUND((D18+E18)*G18,0)</f>
        <v>1243</v>
      </c>
      <c r="G18" s="10">
        <v>0.09</v>
      </c>
      <c r="H18" s="4">
        <f t="shared" si="2"/>
        <v>15053</v>
      </c>
      <c r="I18" s="4">
        <f>IF(Z13=11,AA13,IF(Z12=11,AA12,I17))</f>
        <v>5150</v>
      </c>
      <c r="J18" s="4">
        <f t="shared" si="3"/>
        <v>2575</v>
      </c>
      <c r="K18" s="4">
        <f>ROUND((I18+J18)*L18,0)</f>
        <v>3167</v>
      </c>
      <c r="L18" s="10">
        <v>0.41</v>
      </c>
      <c r="M18" s="4">
        <f t="shared" si="4"/>
        <v>10892</v>
      </c>
      <c r="N18" s="4">
        <f t="shared" si="0"/>
        <v>4161</v>
      </c>
      <c r="O18" s="4">
        <f t="shared" si="5"/>
        <v>130</v>
      </c>
      <c r="P18" s="2">
        <f t="shared" si="6"/>
        <v>110</v>
      </c>
      <c r="Q18" s="2">
        <f t="shared" si="1"/>
        <v>20</v>
      </c>
      <c r="R18" s="28"/>
      <c r="S18">
        <f>IF(AB11+AC11&gt;1,AC11+100,(IF(AB11+AC11=1,0+100,IF(ROUND(I18*15%,0)+100&gt;2100,2100,(ROUND(I18*15%,0)+100)))))</f>
        <v>873</v>
      </c>
      <c r="T18">
        <f t="shared" si="7"/>
        <v>15926</v>
      </c>
      <c r="U18">
        <f t="shared" si="8"/>
        <v>11765</v>
      </c>
    </row>
    <row r="19" spans="1:21" ht="24.75" customHeight="1">
      <c r="A19" s="28"/>
      <c r="B19" s="28"/>
      <c r="C19" s="9">
        <v>39783</v>
      </c>
      <c r="D19" s="4">
        <f t="shared" si="9"/>
        <v>10210</v>
      </c>
      <c r="E19" s="4">
        <f>IF(X13=12,Y13,IF(X12=12,Y12,E18))</f>
        <v>3600</v>
      </c>
      <c r="F19" s="4">
        <f>ROUND((D19+E19)*G18,0)</f>
        <v>1243</v>
      </c>
      <c r="G19" s="11"/>
      <c r="H19" s="4">
        <f t="shared" si="2"/>
        <v>15053</v>
      </c>
      <c r="I19" s="4">
        <f>IF(Z13=12,AA13,IF(Z12=12,AA12,I18))</f>
        <v>5150</v>
      </c>
      <c r="J19" s="4">
        <f t="shared" si="3"/>
        <v>2575</v>
      </c>
      <c r="K19" s="4">
        <f>ROUND((I19+J19)*L18,0)</f>
        <v>3167</v>
      </c>
      <c r="L19" s="11"/>
      <c r="M19" s="4">
        <f t="shared" si="4"/>
        <v>10892</v>
      </c>
      <c r="N19" s="4">
        <f t="shared" si="0"/>
        <v>4161</v>
      </c>
      <c r="O19" s="4">
        <f t="shared" si="5"/>
        <v>130</v>
      </c>
      <c r="P19" s="2">
        <f t="shared" si="6"/>
        <v>110</v>
      </c>
      <c r="Q19" s="2">
        <f t="shared" si="1"/>
        <v>20</v>
      </c>
      <c r="R19" s="28"/>
      <c r="S19">
        <f>IF(AB11+AC11&gt;1,AC11+100,(IF(AB11+AC11=1,0+100,IF(ROUND(I19*15%,0)+100&gt;2100,2100,(ROUND(I19*15%,0)+100)))))</f>
        <v>873</v>
      </c>
      <c r="T19">
        <f t="shared" si="7"/>
        <v>15926</v>
      </c>
      <c r="U19">
        <f t="shared" si="8"/>
        <v>11765</v>
      </c>
    </row>
    <row r="20" spans="1:21" ht="24.75" customHeight="1">
      <c r="A20" s="28"/>
      <c r="B20" s="28"/>
      <c r="C20" s="9">
        <v>39814</v>
      </c>
      <c r="D20" s="4">
        <f t="shared" si="9"/>
        <v>10210</v>
      </c>
      <c r="E20" s="4">
        <f>IF(X13=1,Y13,IF(X12=1,Y12,E19))</f>
        <v>3600</v>
      </c>
      <c r="F20" s="4">
        <f>ROUND((D20+E20)*G18,0)</f>
        <v>1243</v>
      </c>
      <c r="G20" s="11"/>
      <c r="H20" s="4">
        <f t="shared" si="2"/>
        <v>15053</v>
      </c>
      <c r="I20" s="4">
        <f>IF(Z13=1,AA13,IF(Z12=1,AA12,I19))</f>
        <v>5300</v>
      </c>
      <c r="J20" s="4">
        <f t="shared" si="3"/>
        <v>2650</v>
      </c>
      <c r="K20" s="4">
        <f>ROUND((I20+J20)*L18,0)</f>
        <v>3260</v>
      </c>
      <c r="L20" s="11"/>
      <c r="M20" s="4">
        <f t="shared" si="4"/>
        <v>11210</v>
      </c>
      <c r="N20" s="4">
        <f t="shared" si="0"/>
        <v>3843</v>
      </c>
      <c r="O20" s="4">
        <f t="shared" si="5"/>
        <v>130</v>
      </c>
      <c r="P20" s="2">
        <f t="shared" si="6"/>
        <v>110</v>
      </c>
      <c r="Q20" s="2">
        <f t="shared" si="1"/>
        <v>20</v>
      </c>
      <c r="R20" s="28"/>
      <c r="S20">
        <f>IF(AB11+AC11&gt;1,AC11+100,(IF(AB11+AC11=1,0+100,IF(ROUND(I20*15%,0)+100&gt;2100,2100,(ROUND(I20*15%,0)+100)))))</f>
        <v>895</v>
      </c>
      <c r="T20">
        <f t="shared" si="7"/>
        <v>15948</v>
      </c>
      <c r="U20">
        <f t="shared" si="8"/>
        <v>12105</v>
      </c>
    </row>
    <row r="21" spans="1:21" ht="24.75" customHeight="1">
      <c r="A21" s="28"/>
      <c r="B21" s="28"/>
      <c r="C21" s="9">
        <v>39845</v>
      </c>
      <c r="D21" s="4">
        <f t="shared" si="9"/>
        <v>10210</v>
      </c>
      <c r="E21" s="4">
        <f>IF(X13=2,Y13,IF(X12=2,Y12,E20))</f>
        <v>3600</v>
      </c>
      <c r="F21" s="4">
        <f>ROUND((D21+E21)*G18,0)</f>
        <v>1243</v>
      </c>
      <c r="G21" s="11"/>
      <c r="H21" s="4">
        <f t="shared" si="2"/>
        <v>15053</v>
      </c>
      <c r="I21" s="4">
        <f>IF(Z13=2,AA13,IF(Z12=2,AA12,I20))</f>
        <v>5300</v>
      </c>
      <c r="J21" s="4">
        <f t="shared" si="3"/>
        <v>2650</v>
      </c>
      <c r="K21" s="4">
        <f>ROUND((I21+J21)*L18,0)</f>
        <v>3260</v>
      </c>
      <c r="L21" s="11"/>
      <c r="M21" s="4">
        <f t="shared" si="4"/>
        <v>11210</v>
      </c>
      <c r="N21" s="4">
        <f t="shared" si="0"/>
        <v>3843</v>
      </c>
      <c r="O21" s="4">
        <f t="shared" si="5"/>
        <v>130</v>
      </c>
      <c r="P21" s="2">
        <f t="shared" si="6"/>
        <v>110</v>
      </c>
      <c r="Q21" s="2">
        <f t="shared" si="1"/>
        <v>20</v>
      </c>
      <c r="R21" s="28"/>
      <c r="S21">
        <f>IF(AB11+AC11&gt;1,AC11+100,(IF(AB11+AC11=1,0+100,IF(ROUND(I21*15%,0)+100&gt;2100,2100,(ROUND(I21*15%,0)+100)))))</f>
        <v>895</v>
      </c>
      <c r="T21">
        <f t="shared" si="7"/>
        <v>15948</v>
      </c>
      <c r="U21">
        <f t="shared" si="8"/>
        <v>12105</v>
      </c>
    </row>
    <row r="22" spans="1:21" ht="24.75" customHeight="1">
      <c r="A22" s="28"/>
      <c r="B22" s="28"/>
      <c r="C22" s="9">
        <v>39873</v>
      </c>
      <c r="D22" s="4">
        <f t="shared" si="9"/>
        <v>10210</v>
      </c>
      <c r="E22" s="4">
        <f>IF(X13=3,Y13,IF(X12=3,Y12,E21))</f>
        <v>3600</v>
      </c>
      <c r="F22" s="4">
        <f>ROUND((D22+E22)*G22,0)</f>
        <v>1657</v>
      </c>
      <c r="G22" s="10">
        <v>0.12</v>
      </c>
      <c r="H22" s="4">
        <f t="shared" si="2"/>
        <v>15467</v>
      </c>
      <c r="I22" s="4">
        <f>IF(Z13=3,AA13,IF(Z12=3,AA12,I21))</f>
        <v>5300</v>
      </c>
      <c r="J22" s="4">
        <f t="shared" si="3"/>
        <v>2650</v>
      </c>
      <c r="K22" s="4">
        <f>ROUND((I22+J22)*L22,0)</f>
        <v>3737</v>
      </c>
      <c r="L22" s="10">
        <v>0.47</v>
      </c>
      <c r="M22" s="4">
        <f t="shared" si="4"/>
        <v>11687</v>
      </c>
      <c r="N22" s="4">
        <f t="shared" si="0"/>
        <v>3780</v>
      </c>
      <c r="O22" s="4">
        <f t="shared" si="5"/>
        <v>130</v>
      </c>
      <c r="P22" s="2">
        <f t="shared" si="6"/>
        <v>110</v>
      </c>
      <c r="Q22" s="2">
        <f t="shared" si="1"/>
        <v>20</v>
      </c>
      <c r="R22" s="28"/>
      <c r="S22">
        <f>IF(AB11+AC11&gt;1,AC11+100,(IF(AB11+AC11=1,0+100,IF(ROUND(I22*15%,0)+100&gt;2100,2100,(ROUND(I22*15%,0)+100)))))</f>
        <v>895</v>
      </c>
      <c r="T22">
        <f t="shared" si="7"/>
        <v>16362</v>
      </c>
      <c r="U22">
        <f t="shared" si="8"/>
        <v>12582</v>
      </c>
    </row>
    <row r="23" spans="1:18" ht="24.75" customHeight="1">
      <c r="A23" s="28"/>
      <c r="B23" s="28"/>
      <c r="C23" s="23"/>
      <c r="D23" s="23"/>
      <c r="E23" s="23"/>
      <c r="F23" s="23"/>
      <c r="G23" s="23"/>
      <c r="H23" s="23"/>
      <c r="I23" s="32" t="s">
        <v>15</v>
      </c>
      <c r="J23" s="32"/>
      <c r="K23" s="32"/>
      <c r="L23" s="32"/>
      <c r="M23" s="32"/>
      <c r="N23" s="4">
        <f>SUM(N11:N22)</f>
        <v>47809</v>
      </c>
      <c r="O23" s="4"/>
      <c r="P23" s="4"/>
      <c r="Q23" s="8">
        <f>SUM(Q11:Q22)</f>
        <v>200</v>
      </c>
      <c r="R23" s="28"/>
    </row>
    <row r="24" spans="1:18" ht="24.75" customHeight="1">
      <c r="A24" s="28"/>
      <c r="B24" s="28"/>
      <c r="C24" s="23"/>
      <c r="D24" s="23"/>
      <c r="E24" s="23"/>
      <c r="F24" s="23"/>
      <c r="G24" s="23"/>
      <c r="H24" s="23"/>
      <c r="I24" s="32" t="str">
        <f>IF(AD11=8,CONCATENATE("Total Arrear  ="),CONCATENATE("1/3 of Total Arrear ="))</f>
        <v>Total Arrear  =</v>
      </c>
      <c r="J24" s="32"/>
      <c r="K24" s="32"/>
      <c r="L24" s="32"/>
      <c r="M24" s="32"/>
      <c r="N24" s="4">
        <f>IF(AD11=8,N23,IF(MOD(N23/3,1)&gt;0,(N23/3-MOD(N23/3,1)+1),(N23/3-MOD(N23/3,1))))</f>
        <v>47809</v>
      </c>
      <c r="O24" s="25">
        <f>IF(AD11=8,N24,IF(MOD(N23,1)&gt;0.5,CONCATENATE("(",N24,"+",N24,"+",N24-1,")"),CONCATENATE("(",N24,"+",N24-1,"+",N24-1,")")))</f>
        <v>47809</v>
      </c>
      <c r="P24" s="25"/>
      <c r="Q24" s="25"/>
      <c r="R24" s="28"/>
    </row>
    <row r="25" spans="1:18" ht="12.75">
      <c r="A25" s="28"/>
      <c r="B25" s="28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8"/>
    </row>
    <row r="26" spans="1:18" ht="12.75">
      <c r="A26" s="28"/>
      <c r="B26" s="28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8"/>
    </row>
    <row r="27" spans="1:18" ht="12.75">
      <c r="A27" s="28"/>
      <c r="B27" s="2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8"/>
    </row>
    <row r="28" spans="1:18" ht="12.75">
      <c r="A28" s="28"/>
      <c r="B28" s="28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8"/>
    </row>
    <row r="29" spans="1:18" ht="12.75">
      <c r="A29" s="28"/>
      <c r="B29" s="2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8"/>
    </row>
    <row r="30" spans="1:18" ht="12.75">
      <c r="A30" s="28"/>
      <c r="B30" s="28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8"/>
    </row>
    <row r="31" spans="1:18" ht="12.75">
      <c r="A31" s="28"/>
      <c r="B31" s="2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8"/>
    </row>
    <row r="32" spans="3:10" ht="12.75">
      <c r="C32" s="23">
        <f>C7+C1</f>
        <v>47809</v>
      </c>
      <c r="D32" s="23"/>
      <c r="E32" s="23">
        <f>E7+E1</f>
        <v>0</v>
      </c>
      <c r="F32" s="23"/>
      <c r="G32" s="23"/>
      <c r="H32">
        <f>H7+H1</f>
        <v>200</v>
      </c>
      <c r="I32" s="23">
        <f>I7+I1</f>
        <v>47609</v>
      </c>
      <c r="J32" s="23"/>
    </row>
    <row r="34" spans="16:17" ht="12.75">
      <c r="P34" s="23" t="s">
        <v>39</v>
      </c>
      <c r="Q34" s="23"/>
    </row>
  </sheetData>
  <sheetProtection/>
  <mergeCells count="38">
    <mergeCell ref="Z10:AA10"/>
    <mergeCell ref="K7:Q7"/>
    <mergeCell ref="A8:B31"/>
    <mergeCell ref="O9:Q9"/>
    <mergeCell ref="W7:AA9"/>
    <mergeCell ref="I23:M23"/>
    <mergeCell ref="D9:H9"/>
    <mergeCell ref="I9:M9"/>
    <mergeCell ref="N9:N10"/>
    <mergeCell ref="I24:M24"/>
    <mergeCell ref="C23:H24"/>
    <mergeCell ref="X10:Y10"/>
    <mergeCell ref="C7:D7"/>
    <mergeCell ref="E7:G7"/>
    <mergeCell ref="I7:J7"/>
    <mergeCell ref="R7:R31"/>
    <mergeCell ref="C8:Q8"/>
    <mergeCell ref="O24:Q24"/>
    <mergeCell ref="P34:Q34"/>
    <mergeCell ref="A3:G3"/>
    <mergeCell ref="H3:R3"/>
    <mergeCell ref="H4:R4"/>
    <mergeCell ref="K6:Q6"/>
    <mergeCell ref="A4:G4"/>
    <mergeCell ref="H5:R5"/>
    <mergeCell ref="A5:G5"/>
    <mergeCell ref="I6:J6"/>
    <mergeCell ref="C25:Q31"/>
    <mergeCell ref="C1:D1"/>
    <mergeCell ref="E1:G1"/>
    <mergeCell ref="I1:J1"/>
    <mergeCell ref="C32:D32"/>
    <mergeCell ref="E32:G32"/>
    <mergeCell ref="I32:J32"/>
    <mergeCell ref="A2:R2"/>
    <mergeCell ref="C6:D6"/>
    <mergeCell ref="E6:G6"/>
    <mergeCell ref="C9:C10"/>
  </mergeCells>
  <printOptions gridLines="1"/>
  <pageMargins left="0.75" right="0.75" top="1" bottom="1" header="0.5" footer="0.5"/>
  <pageSetup horizontalDpi="120" verticalDpi="120" orientation="portrait" paperSize="39" r:id="rId1"/>
  <headerFooter alignWithMargins="0">
    <oddFooter>&amp;LDesigned By : Subrata Ghorai &amp; Somenath Dutta, Finance(Accounts) Deptt.Writers' Buildings.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DDA (M and F)</cp:lastModifiedBy>
  <cp:lastPrinted>2009-07-07T09:54:19Z</cp:lastPrinted>
  <dcterms:created xsi:type="dcterms:W3CDTF">2009-06-25T07:51:30Z</dcterms:created>
  <dcterms:modified xsi:type="dcterms:W3CDTF">2009-07-30T08:37:40Z</dcterms:modified>
  <cp:category/>
  <cp:version/>
  <cp:contentType/>
  <cp:contentStatus/>
</cp:coreProperties>
</file>